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9B2B810C-352C-45F7-9A15-72D12965DB2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Смета" sheetId="1" r:id="rId1"/>
  </sheets>
  <definedNames>
    <definedName name="_xlnm.Print_Titles" localSheetId="0">Смета!$1:$1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" i="1" l="1"/>
  <c r="M36" i="1"/>
  <c r="L36" i="1"/>
  <c r="K36" i="1"/>
  <c r="J36" i="1"/>
  <c r="I36" i="1"/>
  <c r="H36" i="1"/>
  <c r="M35" i="1"/>
  <c r="L35" i="1"/>
  <c r="K35" i="1"/>
  <c r="J35" i="1"/>
  <c r="I35" i="1"/>
  <c r="H35" i="1"/>
  <c r="M34" i="1"/>
  <c r="L34" i="1"/>
  <c r="K34" i="1"/>
  <c r="K37" i="1" s="1"/>
  <c r="J34" i="1"/>
  <c r="I34" i="1"/>
  <c r="H34" i="1"/>
  <c r="L37" i="1" l="1"/>
  <c r="N34" i="1"/>
  <c r="O34" i="1" s="1"/>
  <c r="N36" i="1"/>
  <c r="O36" i="1" s="1"/>
  <c r="I37" i="1"/>
  <c r="M37" i="1"/>
  <c r="J37" i="1"/>
  <c r="N35" i="1"/>
  <c r="O35" i="1" s="1"/>
  <c r="H37" i="1"/>
  <c r="O37" i="1" l="1"/>
  <c r="P37" i="1" s="1"/>
  <c r="N37" i="1"/>
  <c r="M30" i="1"/>
  <c r="L30" i="1"/>
  <c r="K30" i="1"/>
  <c r="J30" i="1"/>
  <c r="I30" i="1"/>
  <c r="H30" i="1"/>
  <c r="M29" i="1"/>
  <c r="L29" i="1"/>
  <c r="K29" i="1"/>
  <c r="J29" i="1"/>
  <c r="I29" i="1"/>
  <c r="H29" i="1"/>
  <c r="M28" i="1"/>
  <c r="L28" i="1"/>
  <c r="K28" i="1"/>
  <c r="J28" i="1"/>
  <c r="I28" i="1"/>
  <c r="H28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J25" i="1"/>
  <c r="I25" i="1"/>
  <c r="H25" i="1"/>
  <c r="M24" i="1"/>
  <c r="L24" i="1"/>
  <c r="K24" i="1"/>
  <c r="J24" i="1"/>
  <c r="I24" i="1"/>
  <c r="H24" i="1"/>
  <c r="M23" i="1"/>
  <c r="L23" i="1"/>
  <c r="K23" i="1"/>
  <c r="J23" i="1"/>
  <c r="I23" i="1"/>
  <c r="H23" i="1"/>
  <c r="N26" i="1" l="1"/>
  <c r="O26" i="1" s="1"/>
  <c r="N28" i="1"/>
  <c r="O28" i="1" s="1"/>
  <c r="K31" i="1"/>
  <c r="N30" i="1"/>
  <c r="O30" i="1" s="1"/>
  <c r="H31" i="1"/>
  <c r="L31" i="1"/>
  <c r="N24" i="1"/>
  <c r="O24" i="1" s="1"/>
  <c r="I31" i="1"/>
  <c r="M31" i="1"/>
  <c r="N27" i="1"/>
  <c r="O27" i="1" s="1"/>
  <c r="N29" i="1"/>
  <c r="O29" i="1" s="1"/>
  <c r="J31" i="1"/>
  <c r="N25" i="1"/>
  <c r="O25" i="1" s="1"/>
  <c r="N23" i="1"/>
  <c r="O23" i="1" l="1"/>
  <c r="O31" i="1" s="1"/>
  <c r="P32" i="1" s="1"/>
  <c r="N31" i="1"/>
  <c r="M18" i="1" l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M14" i="1"/>
  <c r="L14" i="1"/>
  <c r="K14" i="1"/>
  <c r="J14" i="1"/>
  <c r="I14" i="1"/>
  <c r="H14" i="1"/>
  <c r="M13" i="1"/>
  <c r="L13" i="1"/>
  <c r="K13" i="1"/>
  <c r="J13" i="1"/>
  <c r="I13" i="1"/>
  <c r="H13" i="1"/>
  <c r="M12" i="1"/>
  <c r="L12" i="1"/>
  <c r="K12" i="1"/>
  <c r="J12" i="1"/>
  <c r="I12" i="1"/>
  <c r="H12" i="1"/>
  <c r="M11" i="1"/>
  <c r="L11" i="1"/>
  <c r="K11" i="1"/>
  <c r="J11" i="1"/>
  <c r="I11" i="1"/>
  <c r="H11" i="1"/>
  <c r="M10" i="1"/>
  <c r="L10" i="1"/>
  <c r="K10" i="1"/>
  <c r="J10" i="1"/>
  <c r="I10" i="1"/>
  <c r="H10" i="1"/>
  <c r="M9" i="1"/>
  <c r="L9" i="1"/>
  <c r="K9" i="1"/>
  <c r="J9" i="1"/>
  <c r="I9" i="1"/>
  <c r="H9" i="1"/>
  <c r="M8" i="1"/>
  <c r="L8" i="1"/>
  <c r="K8" i="1"/>
  <c r="J8" i="1"/>
  <c r="I8" i="1"/>
  <c r="H8" i="1"/>
  <c r="M7" i="1"/>
  <c r="L7" i="1"/>
  <c r="K7" i="1"/>
  <c r="J7" i="1"/>
  <c r="I7" i="1"/>
  <c r="H7" i="1"/>
  <c r="M6" i="1"/>
  <c r="L6" i="1"/>
  <c r="K6" i="1"/>
  <c r="J6" i="1"/>
  <c r="I6" i="1"/>
  <c r="H6" i="1"/>
  <c r="M5" i="1"/>
  <c r="L5" i="1"/>
  <c r="K5" i="1"/>
  <c r="J5" i="1"/>
  <c r="I5" i="1"/>
  <c r="H5" i="1"/>
  <c r="M4" i="1"/>
  <c r="L4" i="1"/>
  <c r="K4" i="1"/>
  <c r="J4" i="1"/>
  <c r="I4" i="1"/>
  <c r="H4" i="1"/>
  <c r="N5" i="1" l="1"/>
  <c r="O5" i="1" s="1"/>
  <c r="N10" i="1"/>
  <c r="O10" i="1" s="1"/>
  <c r="N16" i="1"/>
  <c r="O16" i="1" s="1"/>
  <c r="N18" i="1"/>
  <c r="O18" i="1" s="1"/>
  <c r="N7" i="1"/>
  <c r="O7" i="1" s="1"/>
  <c r="N12" i="1"/>
  <c r="O12" i="1" s="1"/>
  <c r="N14" i="1"/>
  <c r="O14" i="1" s="1"/>
  <c r="K19" i="1"/>
  <c r="J19" i="1"/>
  <c r="N4" i="1"/>
  <c r="L19" i="1"/>
  <c r="N6" i="1"/>
  <c r="O6" i="1" s="1"/>
  <c r="N8" i="1"/>
  <c r="O8" i="1" s="1"/>
  <c r="N9" i="1"/>
  <c r="O9" i="1" s="1"/>
  <c r="N11" i="1"/>
  <c r="O11" i="1" s="1"/>
  <c r="N13" i="1"/>
  <c r="O13" i="1" s="1"/>
  <c r="N15" i="1"/>
  <c r="O15" i="1" s="1"/>
  <c r="N17" i="1"/>
  <c r="O17" i="1" s="1"/>
  <c r="I19" i="1"/>
  <c r="M19" i="1"/>
  <c r="O4" i="1"/>
  <c r="H19" i="1"/>
  <c r="N19" i="1" l="1"/>
  <c r="O19" i="1"/>
  <c r="P20" i="1" s="1"/>
  <c r="P38" i="1" s="1"/>
</calcChain>
</file>

<file path=xl/sharedStrings.xml><?xml version="1.0" encoding="utf-8"?>
<sst xmlns="http://schemas.openxmlformats.org/spreadsheetml/2006/main" count="107" uniqueCount="93">
  <si>
    <t/>
  </si>
  <si>
    <t>№ ПП</t>
  </si>
  <si>
    <t>КОД</t>
  </si>
  <si>
    <t>НАЗВАНИЕ РАБОТЫ</t>
  </si>
  <si>
    <t>ИЗМЕРИТЕЛЬ</t>
  </si>
  <si>
    <t>КОЛ-ВО ЕД. ИЗМ.</t>
  </si>
  <si>
    <t>ПЕРИОДИЧ- 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</si>
  <si>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</si>
  <si>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</si>
  <si>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</si>
  <si>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</si>
  <si>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</si>
  <si>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</si>
  <si>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</si>
  <si>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НА КВ.М/МЕС</t>
  </si>
  <si>
    <t>Общая площадь, кв.м:</t>
  </si>
  <si>
    <t>3.2.1.1</t>
  </si>
  <si>
    <t>Подметание в летний период  земельного участка с усовершенствованным покрытием 1 класса</t>
  </si>
  <si>
    <t>1 000 кв.м. территории</t>
  </si>
  <si>
    <t>3.2.3.1.3</t>
  </si>
  <si>
    <t>Уборка газонов от случайного мусора</t>
  </si>
  <si>
    <t>100 000 м2</t>
  </si>
  <si>
    <t>3.2.3.2.10</t>
  </si>
  <si>
    <t>Очистка опрокидывающихся урн от мусора</t>
  </si>
  <si>
    <t>на 100 урн</t>
  </si>
  <si>
    <t>3.2.5.1</t>
  </si>
  <si>
    <t>Уборка детских и спортивных площадок</t>
  </si>
  <si>
    <t>1000 кв.м.</t>
  </si>
  <si>
    <t>3.2.5.4</t>
  </si>
  <si>
    <t>Заполнение песочницы песком</t>
  </si>
  <si>
    <t>песочница</t>
  </si>
  <si>
    <t>3.2.6.1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</si>
  <si>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</si>
  <si>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</si>
  <si>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3.2.7.1</t>
  </si>
  <si>
    <t>Сдвижка и подметание снега при снегопаде на придомовой территории с усовершенствованным покрытием 1 класса</t>
  </si>
  <si>
    <t>3.2.8.4</t>
  </si>
  <si>
    <t>Очистка территории с усовершенствованным покрытием 1 класса от наледи с обработкой противогололедными реагентами</t>
  </si>
  <si>
    <t>3.2.9.2</t>
  </si>
  <si>
    <t>100 кв.м. кровли</t>
  </si>
  <si>
    <t>3.2.11</t>
  </si>
  <si>
    <t>Уборка крыльца и площадки перед входом в подъезд (в холодный период года)</t>
  </si>
  <si>
    <t>100 кв.м</t>
  </si>
  <si>
    <t>3.2.12</t>
  </si>
  <si>
    <t>Уборка крыльца и площадки перед входом в подъезд (в теплый период года)</t>
  </si>
  <si>
    <t>3.5.1.4.1</t>
  </si>
  <si>
    <t>100 куб.м.</t>
  </si>
  <si>
    <t>4.1.9.2.2</t>
  </si>
  <si>
    <t>100 м2</t>
  </si>
  <si>
    <t>4.1.9.4.2</t>
  </si>
  <si>
    <t>Сгребание скошенной травы при выкашивании газонокосилкой</t>
  </si>
  <si>
    <t>4.2.1.4</t>
  </si>
  <si>
    <t>ИТОГО:</t>
  </si>
  <si>
    <t>Очистка кровли подъездных козырьков от снега, сбивание сосулек (при толщине слоя до 20 см)</t>
  </si>
  <si>
    <t>Механизированная погрузка и вывоз снега</t>
  </si>
  <si>
    <t>Посадка однолетних цветов с поливом</t>
  </si>
  <si>
    <t>3.1.1.3.1.2</t>
  </si>
  <si>
    <t>100 м2 убираемой  площади</t>
  </si>
  <si>
    <t>3.1.1.3.2.1</t>
  </si>
  <si>
    <t>100 м2  убираемой  площади</t>
  </si>
  <si>
    <t>3.1.1.3.2.2</t>
  </si>
  <si>
    <t>3.1.4.3</t>
  </si>
  <si>
    <t>Мытье и протирка легкодоступных стекол в окнах  в помещениях общего пользования</t>
  </si>
  <si>
    <t>100 м2 окон</t>
  </si>
  <si>
    <t>3.1.10.2</t>
  </si>
  <si>
    <t>Мытье пола кабины лифта</t>
  </si>
  <si>
    <t>100 м2 пола лифтов</t>
  </si>
  <si>
    <t>3.1.10.5</t>
  </si>
  <si>
    <t>Мытье стен и дверей кабины лифта</t>
  </si>
  <si>
    <t>100 кв. м</t>
  </si>
  <si>
    <t>2.10.1.1</t>
  </si>
  <si>
    <t>Диспетчерское обслуживание лифтов</t>
  </si>
  <si>
    <t xml:space="preserve"> пульт управления оборудованием жилых зданий</t>
  </si>
  <si>
    <t>1 лифт</t>
  </si>
  <si>
    <t>2.10.1.5</t>
  </si>
  <si>
    <t>Периодическое освидетельствование</t>
  </si>
  <si>
    <t>2.10.1.7</t>
  </si>
  <si>
    <t>Аварийное обслуживание лифтов</t>
  </si>
  <si>
    <t>1 лифт в год</t>
  </si>
  <si>
    <t xml:space="preserve">Выкашивание газона газонокосилками </t>
  </si>
  <si>
    <t>3.1.12.11</t>
  </si>
  <si>
    <t>3.4.2</t>
  </si>
  <si>
    <t>Дезинсекция  подвалов</t>
  </si>
  <si>
    <t>1000 м2  обрабатываемых  помещений</t>
  </si>
  <si>
    <t>3,3333333,3</t>
  </si>
  <si>
    <t>Обработка от тараканов квартирных и лифтовых холлов  методом орошения распылителем</t>
  </si>
  <si>
    <t>Подметание лестничных площадок и маршей выше первого этажа с предварительным их увлажнением  (в доме с лифтами без мусоропроводов)</t>
  </si>
  <si>
    <t>Мытье вестибюллей, холлов, тамбуров  первых этажей  (в доме с лифтами без мусоропроводов)</t>
  </si>
  <si>
    <t>Мытье  квартирных и лифтовых холлов, лестничных площадок и маршей  выше первого этажа  (в доме с лифтами без мусоропроводов)</t>
  </si>
  <si>
    <t>Содержание земельного участка</t>
  </si>
  <si>
    <t>Содержание мест общего пользования</t>
  </si>
  <si>
    <t>Содержание лифтов</t>
  </si>
  <si>
    <t>Утверждено по договору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</si>
</sst>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</font>
    <font>
      <sz val="10"/>
      <name val="Calibri"/>
    </font>
    <font>
      <sz val="12"/>
      <name val="Calibri"/>
    </font>
    <font>
      <b/>
      <sz val="9"/>
      <color rgb="FFFFFFFF"/>
      <name val="Calibri"/>
    </font>
    <font>
      <b/>
      <sz val="11"/>
      <color rgb="FFFFFFFF"/>
      <name val="Calibri"/>
    </font>
    <font>
      <sz val="9"/>
      <name val="Calibri"/>
      <family val="2"/>
      <charset val="204"/>
    </font>
    <font>
      <sz val="18"/>
      <color rgb="FF000099"/>
      <name val="Calibri"/>
      <family val="2"/>
      <charset val="204"/>
    </font>
    <font>
      <i/>
      <sz val="11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top" wrapText="1" indent="1"/>
    </xf>
    <xf numFmtId="49" fontId="3" fillId="0" borderId="0" xfId="0" applyNumberFormat="1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indent="1"/>
    </xf>
    <xf numFmtId="164" fontId="3" fillId="0" borderId="0" xfId="0" applyNumberFormat="1" applyFont="1" applyAlignment="1">
      <alignment horizontal="right" vertical="top" indent="1"/>
    </xf>
    <xf numFmtId="2" fontId="3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center" wrapText="1" indent="1"/>
    </xf>
    <xf numFmtId="0" fontId="6" fillId="0" borderId="0" xfId="0" applyFont="1" applyAlignment="1">
      <alignment horizontal="right" vertical="center" wrapText="1" indent="1"/>
    </xf>
    <xf numFmtId="0" fontId="7" fillId="2" borderId="1" xfId="0" applyFont="1" applyFill="1" applyBorder="1" applyAlignment="1">
      <alignment horizontal="center" vertical="center" wrapText="1" indent="1"/>
    </xf>
    <xf numFmtId="49" fontId="7" fillId="2" borderId="1" xfId="0" applyNumberFormat="1" applyFont="1" applyFill="1" applyBorder="1" applyAlignment="1">
      <alignment horizontal="center" vertical="center" wrapText="1" indent="1"/>
    </xf>
    <xf numFmtId="164" fontId="7" fillId="2" borderId="1" xfId="0" applyNumberFormat="1" applyFont="1" applyFill="1" applyBorder="1" applyAlignment="1">
      <alignment horizontal="center" vertical="center" wrapText="1" indent="1"/>
    </xf>
    <xf numFmtId="2" fontId="7" fillId="2" borderId="1" xfId="0" applyNumberFormat="1" applyFont="1" applyFill="1" applyBorder="1" applyAlignment="1">
      <alignment horizontal="center" vertical="center" wrapText="1" indent="1"/>
    </xf>
    <xf numFmtId="0" fontId="9" fillId="0" borderId="1" xfId="0" applyFont="1" applyBorder="1" applyAlignment="1">
      <alignment horizontal="left" indent="1"/>
    </xf>
    <xf numFmtId="2" fontId="9" fillId="0" borderId="1" xfId="0" applyNumberFormat="1" applyFont="1" applyBorder="1" applyAlignment="1">
      <alignment horizontal="left" indent="1"/>
    </xf>
    <xf numFmtId="2" fontId="10" fillId="0" borderId="1" xfId="0" applyNumberFormat="1" applyFont="1" applyBorder="1" applyAlignment="1">
      <alignment horizontal="right" vertical="top" indent="1"/>
    </xf>
    <xf numFmtId="0" fontId="7" fillId="2" borderId="1" xfId="0" applyFont="1" applyFill="1" applyBorder="1" applyAlignment="1">
      <alignment horizontal="center" vertical="top" wrapText="1" indent="1"/>
    </xf>
    <xf numFmtId="49" fontId="10" fillId="2" borderId="1" xfId="0" applyNumberFormat="1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top" indent="1"/>
    </xf>
    <xf numFmtId="164" fontId="10" fillId="2" borderId="1" xfId="0" applyNumberFormat="1" applyFont="1" applyFill="1" applyBorder="1" applyAlignment="1">
      <alignment horizontal="right" vertical="top" indent="1"/>
    </xf>
    <xf numFmtId="2" fontId="0" fillId="0" borderId="0" xfId="0" applyNumberFormat="1"/>
    <xf numFmtId="0" fontId="1" fillId="0" borderId="0" xfId="0" applyFont="1"/>
    <xf numFmtId="164" fontId="13" fillId="2" borderId="1" xfId="0" applyNumberFormat="1" applyFont="1" applyFill="1" applyBorder="1" applyAlignment="1">
      <alignment horizontal="right" vertical="center" wrapText="1" indent="1"/>
    </xf>
    <xf numFmtId="2" fontId="13" fillId="2" borderId="1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vertical="center" wrapText="1" indent="1"/>
    </xf>
    <xf numFmtId="2" fontId="1" fillId="0" borderId="0" xfId="0" applyNumberFormat="1" applyFont="1"/>
    <xf numFmtId="0" fontId="7" fillId="0" borderId="1" xfId="0" applyFont="1" applyBorder="1" applyAlignment="1">
      <alignment horizontal="center" vertical="top" wrapText="1" indent="1"/>
    </xf>
    <xf numFmtId="49" fontId="10" fillId="0" borderId="1" xfId="0" applyNumberFormat="1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indent="1"/>
    </xf>
    <xf numFmtId="164" fontId="10" fillId="0" borderId="1" xfId="0" applyNumberFormat="1" applyFont="1" applyBorder="1" applyAlignment="1">
      <alignment horizontal="right" vertical="top" indent="1"/>
    </xf>
    <xf numFmtId="164" fontId="10" fillId="0" borderId="2" xfId="0" applyNumberFormat="1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164" fontId="10" fillId="0" borderId="1" xfId="0" applyNumberFormat="1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indent="1"/>
    </xf>
    <xf numFmtId="0" fontId="8" fillId="0" borderId="1" xfId="0" applyFont="1" applyBorder="1" applyAlignment="1">
      <alignment horizontal="left" vertical="center" indent="1"/>
    </xf>
    <xf numFmtId="164" fontId="9" fillId="0" borderId="1" xfId="0" applyNumberFormat="1" applyFont="1" applyBorder="1" applyAlignment="1">
      <alignment horizontal="right" indent="1"/>
    </xf>
    <xf numFmtId="0" fontId="10" fillId="2" borderId="1" xfId="0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horizontal="right" indent="1"/>
    </xf>
    <xf numFmtId="164" fontId="12" fillId="2" borderId="1" xfId="0" applyNumberFormat="1" applyFont="1" applyFill="1" applyBorder="1" applyAlignment="1">
      <alignment horizontal="right" indent="1"/>
    </xf>
    <xf numFmtId="0" fontId="7" fillId="0" borderId="3" xfId="0" applyFont="1" applyBorder="1" applyAlignment="1">
      <alignment horizontal="center" vertical="top" wrapText="1" indent="1"/>
    </xf>
    <xf numFmtId="49" fontId="10" fillId="0" borderId="0" xfId="0" applyNumberFormat="1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indent="1"/>
    </xf>
    <xf numFmtId="164" fontId="10" fillId="0" borderId="0" xfId="0" applyNumberFormat="1" applyFont="1" applyBorder="1" applyAlignment="1">
      <alignment horizontal="right" vertical="top" indent="1"/>
    </xf>
    <xf numFmtId="2" fontId="10" fillId="0" borderId="4" xfId="0" applyNumberFormat="1" applyFont="1" applyBorder="1" applyAlignment="1">
      <alignment horizontal="righ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5.75" x14ac:dyDescent="0.25"/>
  <cols>
    <col min="1" max="1" width="3" customWidth="1"/>
    <col min="2" max="2" width="6" style="1" customWidth="1"/>
    <col min="3" max="3" width="13" style="2" customWidth="1"/>
    <col min="4" max="4" width="47.42578125" style="3" customWidth="1"/>
    <col min="5" max="5" width="17.7109375" style="3" customWidth="1"/>
    <col min="6" max="6" width="10.7109375" style="4" customWidth="1"/>
    <col min="7" max="7" width="12" style="4" customWidth="1"/>
    <col min="8" max="8" width="14" style="5" customWidth="1"/>
    <col min="9" max="9" width="14.85546875" style="5" customWidth="1"/>
    <col min="10" max="10" width="14.7109375" style="5" customWidth="1"/>
    <col min="11" max="11" width="15.42578125" style="5" customWidth="1"/>
    <col min="12" max="12" width="11.5703125" style="5" customWidth="1"/>
    <col min="13" max="13" width="15" style="5" customWidth="1"/>
    <col min="14" max="14" width="19.42578125" style="5" customWidth="1"/>
    <col min="15" max="15" width="13.85546875" style="6" customWidth="1"/>
  </cols>
  <sheetData>
    <row r="1" spans="1:16" s="7" customFormat="1" ht="39.950000000000003" customHeight="1" x14ac:dyDescent="0.25">
      <c r="A1" s="7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2" t="s">
        <v>14</v>
      </c>
    </row>
    <row r="2" spans="1:16" ht="15" x14ac:dyDescent="0.25">
      <c r="A2" t="s">
        <v>0</v>
      </c>
      <c r="B2" s="36" t="s">
        <v>89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13"/>
    </row>
    <row r="3" spans="1:16" ht="15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 t="s">
        <v>15</v>
      </c>
      <c r="N3" s="37"/>
      <c r="O3" s="14">
        <v>25664.9</v>
      </c>
    </row>
    <row r="4" spans="1:16" ht="25.5" x14ac:dyDescent="0.25">
      <c r="B4" s="16">
        <v>1</v>
      </c>
      <c r="C4" s="17" t="s">
        <v>16</v>
      </c>
      <c r="D4" s="18" t="s">
        <v>17</v>
      </c>
      <c r="E4" s="18" t="s">
        <v>18</v>
      </c>
      <c r="F4" s="19">
        <v>4.2629999999999999</v>
      </c>
      <c r="G4" s="19">
        <v>30</v>
      </c>
      <c r="H4" s="20">
        <f>F4 * G4 * 212.4143</f>
        <v>27165.664827000001</v>
      </c>
      <c r="I4" s="20">
        <f>F4 * G4 * 1.814077</f>
        <v>232.00230753</v>
      </c>
      <c r="J4" s="20">
        <f t="shared" ref="J4:J14" si="0">F4 * G4 * 0</f>
        <v>0</v>
      </c>
      <c r="K4" s="20">
        <f>F4 * G4 * 149.114839</f>
        <v>19070.29675971</v>
      </c>
      <c r="L4" s="20">
        <f>F4 * G4 * 5.56422</f>
        <v>711.6080958</v>
      </c>
      <c r="M4" s="20">
        <f>F4 * G4 * 6.372429</f>
        <v>814.96994481000002</v>
      </c>
      <c r="N4" s="20">
        <f t="shared" ref="N4:N18" si="1">SUM(H4:M4)</f>
        <v>47994.541934850007</v>
      </c>
      <c r="O4" s="15">
        <f>IF(O3&gt;0,N4/O3/12,0)</f>
        <v>0.15583716130736922</v>
      </c>
    </row>
    <row r="5" spans="1:16" x14ac:dyDescent="0.25">
      <c r="B5" s="16">
        <v>2</v>
      </c>
      <c r="C5" s="17" t="s">
        <v>19</v>
      </c>
      <c r="D5" s="18" t="s">
        <v>20</v>
      </c>
      <c r="E5" s="18" t="s">
        <v>21</v>
      </c>
      <c r="F5" s="19">
        <v>1.2800000000000001E-2</v>
      </c>
      <c r="G5" s="19">
        <v>30</v>
      </c>
      <c r="H5" s="20">
        <f>F5 * G5 * 20495.5843</f>
        <v>7870.3043711999999</v>
      </c>
      <c r="I5" s="20">
        <f>F5 * G5 * 174.151394</f>
        <v>66.874135296000006</v>
      </c>
      <c r="J5" s="20">
        <f t="shared" si="0"/>
        <v>0</v>
      </c>
      <c r="K5" s="20">
        <f>F5 * G5 * 14387.900179</f>
        <v>5524.9536687360005</v>
      </c>
      <c r="L5" s="20">
        <f>F5 * G5 * 536.871176</f>
        <v>206.158531584</v>
      </c>
      <c r="M5" s="20">
        <f>F5 * G5 * 614.867529</f>
        <v>236.109131136</v>
      </c>
      <c r="N5" s="20">
        <f t="shared" si="1"/>
        <v>13904.399837952</v>
      </c>
      <c r="O5" s="15">
        <f>IF(O3&gt;0,N5/O3/12,0)</f>
        <v>4.5147262856897935E-2</v>
      </c>
    </row>
    <row r="6" spans="1:16" x14ac:dyDescent="0.25">
      <c r="B6" s="16">
        <v>3</v>
      </c>
      <c r="C6" s="17" t="s">
        <v>22</v>
      </c>
      <c r="D6" s="18" t="s">
        <v>23</v>
      </c>
      <c r="E6" s="18" t="s">
        <v>24</v>
      </c>
      <c r="F6" s="19">
        <v>0.08</v>
      </c>
      <c r="G6" s="19">
        <v>365</v>
      </c>
      <c r="H6" s="20">
        <f>F6 * G6 * 384.9011</f>
        <v>11239.11212</v>
      </c>
      <c r="I6" s="20">
        <f>F6 * G6 * 725.630808</f>
        <v>21188.4195936</v>
      </c>
      <c r="J6" s="20">
        <f t="shared" si="0"/>
        <v>0</v>
      </c>
      <c r="K6" s="20">
        <f>F6 * G6 * 270.200572</f>
        <v>7889.8567024000004</v>
      </c>
      <c r="L6" s="20">
        <f>F6 * G6 * 20.953807</f>
        <v>611.85116440000002</v>
      </c>
      <c r="M6" s="20">
        <f>F6 * G6 * 11.547033</f>
        <v>337.17336360000002</v>
      </c>
      <c r="N6" s="20">
        <f t="shared" si="1"/>
        <v>41266.412944000003</v>
      </c>
      <c r="O6" s="15">
        <f>IF(O3&gt;0,N6/O3/12,0)</f>
        <v>0.13399108297064602</v>
      </c>
    </row>
    <row r="7" spans="1:16" x14ac:dyDescent="0.25">
      <c r="B7" s="16">
        <v>4</v>
      </c>
      <c r="C7" s="17" t="s">
        <v>25</v>
      </c>
      <c r="D7" s="18" t="s">
        <v>26</v>
      </c>
      <c r="E7" s="18" t="s">
        <v>27</v>
      </c>
      <c r="F7" s="19">
        <v>0.77700000000000002</v>
      </c>
      <c r="G7" s="19">
        <v>52</v>
      </c>
      <c r="H7" s="20">
        <f>F7 * G7 * 367.333</f>
        <v>14841.722532000002</v>
      </c>
      <c r="I7" s="20">
        <f>F7 * G7 * 2.104329</f>
        <v>85.023308916000005</v>
      </c>
      <c r="J7" s="20">
        <f t="shared" si="0"/>
        <v>0</v>
      </c>
      <c r="K7" s="20">
        <f>F7 * G7 * 257.867766</f>
        <v>10418.889217464002</v>
      </c>
      <c r="L7" s="20">
        <f>F7 * G7 * 9.606792</f>
        <v>388.15282396800006</v>
      </c>
      <c r="M7" s="20">
        <f>F7 * G7 * 11.01999</f>
        <v>445.25167596000006</v>
      </c>
      <c r="N7" s="20">
        <f t="shared" si="1"/>
        <v>26179.039558308003</v>
      </c>
      <c r="O7" s="15">
        <f>IF(O3&gt;0,N7/O3/12,0)</f>
        <v>8.5002732520251409E-2</v>
      </c>
    </row>
    <row r="8" spans="1:16" x14ac:dyDescent="0.25">
      <c r="B8" s="16">
        <v>5</v>
      </c>
      <c r="C8" s="17" t="s">
        <v>28</v>
      </c>
      <c r="D8" s="18" t="s">
        <v>29</v>
      </c>
      <c r="E8" s="18" t="s">
        <v>30</v>
      </c>
      <c r="F8" s="19">
        <v>1</v>
      </c>
      <c r="G8" s="19">
        <v>1</v>
      </c>
      <c r="H8" s="20">
        <f>F8 * G8 * 16.38009</f>
        <v>16.380089999999999</v>
      </c>
      <c r="I8" s="20">
        <f>F8 * G8 * 1689.311817</f>
        <v>1689.311817</v>
      </c>
      <c r="J8" s="20">
        <f t="shared" si="0"/>
        <v>0</v>
      </c>
      <c r="K8" s="20">
        <f>F8 * G8 * 11.498823</f>
        <v>11.498823</v>
      </c>
      <c r="L8" s="20">
        <f>F8 * G8 * 25.851116</f>
        <v>25.851116000000001</v>
      </c>
      <c r="M8" s="20">
        <f>F8 * G8 * 0.491403</f>
        <v>0.49140299999999998</v>
      </c>
      <c r="N8" s="20">
        <f t="shared" si="1"/>
        <v>1743.5332490000001</v>
      </c>
      <c r="O8" s="15">
        <f>IF(O3&gt;0,N8/O3/12,0)</f>
        <v>5.6612119048453985E-3</v>
      </c>
    </row>
    <row r="9" spans="1:16" ht="38.25" x14ac:dyDescent="0.25">
      <c r="B9" s="16">
        <v>7</v>
      </c>
      <c r="C9" s="17" t="s">
        <v>31</v>
      </c>
      <c r="D9" s="18" t="s">
        <v>32</v>
      </c>
      <c r="E9" s="18" t="s">
        <v>33</v>
      </c>
      <c r="F9" s="19">
        <v>0.42630000000000001</v>
      </c>
      <c r="G9" s="19">
        <v>61</v>
      </c>
      <c r="H9" s="20">
        <f>F9 * G9 * 3726.0343</f>
        <v>96892.913747489991</v>
      </c>
      <c r="I9" s="20">
        <f>F9 * G9 * 0</f>
        <v>0</v>
      </c>
      <c r="J9" s="20">
        <f t="shared" si="0"/>
        <v>0</v>
      </c>
      <c r="K9" s="20">
        <f>F9 * G9 * 2615.676079</f>
        <v>68018.825461139699</v>
      </c>
      <c r="L9" s="20">
        <f>F9 * G9 * 97.125046</f>
        <v>2525.6688336978</v>
      </c>
      <c r="M9" s="20">
        <f>F9 * G9 * 111.781029</f>
        <v>2906.7874124247001</v>
      </c>
      <c r="N9" s="20">
        <f t="shared" si="1"/>
        <v>170344.19545475219</v>
      </c>
      <c r="O9" s="15">
        <f>IF(O3&gt;0,N9/O3/12,0)</f>
        <v>0.5531036404283417</v>
      </c>
    </row>
    <row r="10" spans="1:16" ht="26.25" customHeight="1" x14ac:dyDescent="0.25">
      <c r="B10" s="16">
        <v>8</v>
      </c>
      <c r="C10" s="17" t="s">
        <v>34</v>
      </c>
      <c r="D10" s="18" t="s">
        <v>35</v>
      </c>
      <c r="E10" s="18" t="s">
        <v>33</v>
      </c>
      <c r="F10" s="19">
        <v>0.42599999999999999</v>
      </c>
      <c r="G10" s="19">
        <v>15</v>
      </c>
      <c r="H10" s="20">
        <f>F10 * G10 * 16237.7157</f>
        <v>103759.003323</v>
      </c>
      <c r="I10" s="20">
        <f>F10 * G10 * 0</f>
        <v>0</v>
      </c>
      <c r="J10" s="20">
        <f t="shared" si="0"/>
        <v>0</v>
      </c>
      <c r="K10" s="20">
        <f>F10 * G10 * 11398.876421</f>
        <v>72838.820330190007</v>
      </c>
      <c r="L10" s="20">
        <f>F10 * G10 * 423.262039999999</f>
        <v>2704.6444355999934</v>
      </c>
      <c r="M10" s="20">
        <f>F10 * G10 * 487.131471</f>
        <v>3112.7700996899998</v>
      </c>
      <c r="N10" s="20">
        <f t="shared" si="1"/>
        <v>182415.23818848</v>
      </c>
      <c r="O10" s="15">
        <f>IF(O3&gt;0,N10/O3/12,0)</f>
        <v>0.59229803541178805</v>
      </c>
    </row>
    <row r="11" spans="1:16" ht="38.25" x14ac:dyDescent="0.25">
      <c r="B11" s="16">
        <v>9</v>
      </c>
      <c r="C11" s="17" t="s">
        <v>36</v>
      </c>
      <c r="D11" s="18" t="s">
        <v>37</v>
      </c>
      <c r="E11" s="18" t="s">
        <v>33</v>
      </c>
      <c r="F11" s="19">
        <v>0.1903</v>
      </c>
      <c r="G11" s="19">
        <v>14</v>
      </c>
      <c r="H11" s="20">
        <f>F11 * G11 * 174350.6157</f>
        <v>464504.91034793999</v>
      </c>
      <c r="I11" s="20">
        <f>F11 * G11 * 4231.20096</f>
        <v>11272.765597632</v>
      </c>
      <c r="J11" s="20">
        <f t="shared" si="0"/>
        <v>0</v>
      </c>
      <c r="K11" s="20">
        <f>F11 * G11 * 122394.132221</f>
        <v>326082.44706318824</v>
      </c>
      <c r="L11" s="20">
        <f>F11 * G11 * 4608.40733399999</f>
        <v>12277.718819242775</v>
      </c>
      <c r="M11" s="20">
        <f>F11 * G11 * 5230.518471</f>
        <v>13935.147310438202</v>
      </c>
      <c r="N11" s="20">
        <f t="shared" si="1"/>
        <v>828072.98913844116</v>
      </c>
      <c r="O11" s="15">
        <f>IF(O3&gt;0,N11/O3/12,0)</f>
        <v>2.6887337347195364</v>
      </c>
    </row>
    <row r="12" spans="1:16" ht="25.5" x14ac:dyDescent="0.25">
      <c r="B12" s="16">
        <v>10</v>
      </c>
      <c r="C12" s="17" t="s">
        <v>38</v>
      </c>
      <c r="D12" s="18" t="s">
        <v>53</v>
      </c>
      <c r="E12" s="18" t="s">
        <v>39</v>
      </c>
      <c r="F12" s="19">
        <v>1.49</v>
      </c>
      <c r="G12" s="19">
        <v>1</v>
      </c>
      <c r="H12" s="20">
        <f>F12 * G12 * 622.869</f>
        <v>928.07481000000007</v>
      </c>
      <c r="I12" s="20">
        <f>F12 * G12 * 0</f>
        <v>0</v>
      </c>
      <c r="J12" s="20">
        <f t="shared" si="0"/>
        <v>0</v>
      </c>
      <c r="K12" s="20">
        <f>F12 * G12 * 437.254038</f>
        <v>651.50851662000002</v>
      </c>
      <c r="L12" s="20">
        <f>F12 * G12 * 16.236078</f>
        <v>24.191756219999998</v>
      </c>
      <c r="M12" s="20">
        <f>F12 * G12 * 18.68607</f>
        <v>27.842244300000001</v>
      </c>
      <c r="N12" s="20">
        <f t="shared" si="1"/>
        <v>1631.61732714</v>
      </c>
      <c r="O12" s="15">
        <f>IF(O3&gt;0,N12/O3/12,0)</f>
        <v>5.297823509735085E-3</v>
      </c>
    </row>
    <row r="13" spans="1:16" ht="25.5" x14ac:dyDescent="0.25">
      <c r="B13" s="16">
        <v>11</v>
      </c>
      <c r="C13" s="17" t="s">
        <v>40</v>
      </c>
      <c r="D13" s="18" t="s">
        <v>41</v>
      </c>
      <c r="E13" s="18" t="s">
        <v>42</v>
      </c>
      <c r="F13" s="19">
        <v>1.49</v>
      </c>
      <c r="G13" s="19">
        <v>90</v>
      </c>
      <c r="H13" s="20">
        <f>F13 * G13 * 220.3998</f>
        <v>29555.61318</v>
      </c>
      <c r="I13" s="20">
        <f>F13 * G13 * 0</f>
        <v>0</v>
      </c>
      <c r="J13" s="20">
        <f t="shared" si="0"/>
        <v>0</v>
      </c>
      <c r="K13" s="20">
        <f>F13 * G13 * 154.72066</f>
        <v>20748.040506000001</v>
      </c>
      <c r="L13" s="20">
        <f>F13 * G13 * 5.745073</f>
        <v>770.41428929999995</v>
      </c>
      <c r="M13" s="20">
        <f>F13 * G13 * 6.611994</f>
        <v>886.66839540000001</v>
      </c>
      <c r="N13" s="20">
        <f t="shared" si="1"/>
        <v>51960.736370700004</v>
      </c>
      <c r="O13" s="15">
        <f>IF(O3&gt;0,N13/O3/12,0)</f>
        <v>0.16871530238672272</v>
      </c>
    </row>
    <row r="14" spans="1:16" ht="25.5" x14ac:dyDescent="0.25">
      <c r="B14" s="16">
        <v>12</v>
      </c>
      <c r="C14" s="17" t="s">
        <v>43</v>
      </c>
      <c r="D14" s="18" t="s">
        <v>44</v>
      </c>
      <c r="E14" s="18" t="s">
        <v>42</v>
      </c>
      <c r="F14" s="19">
        <v>1.49</v>
      </c>
      <c r="G14" s="19">
        <v>275</v>
      </c>
      <c r="H14" s="20">
        <f>F14 * G14 * 40.72605</f>
        <v>16687.498987499999</v>
      </c>
      <c r="I14" s="20">
        <f>F14 * G14 * 0.341046</f>
        <v>139.74359850000002</v>
      </c>
      <c r="J14" s="20">
        <f t="shared" si="0"/>
        <v>0</v>
      </c>
      <c r="K14" s="20">
        <f>F14 * G14 * 28.5896869999999</f>
        <v>11714.624248249958</v>
      </c>
      <c r="L14" s="20">
        <f>F14 * G14 * 1.066723</f>
        <v>437.08974925000001</v>
      </c>
      <c r="M14" s="20">
        <f>F14 * G14 * 1.221782</f>
        <v>500.62517449999996</v>
      </c>
      <c r="N14" s="20">
        <f t="shared" si="1"/>
        <v>29479.58175799996</v>
      </c>
      <c r="O14" s="15">
        <f>IF(O3&gt;0,N14/O3/12,0)</f>
        <v>9.5719516271899105E-2</v>
      </c>
    </row>
    <row r="15" spans="1:16" x14ac:dyDescent="0.25">
      <c r="B15" s="16">
        <v>13</v>
      </c>
      <c r="C15" s="17" t="s">
        <v>45</v>
      </c>
      <c r="D15" s="18" t="s">
        <v>54</v>
      </c>
      <c r="E15" s="18" t="s">
        <v>46</v>
      </c>
      <c r="F15" s="19">
        <v>0.2</v>
      </c>
      <c r="G15" s="19">
        <v>5</v>
      </c>
      <c r="H15" s="20">
        <f>F15 * G15 * 2902.2248</f>
        <v>2902.2248</v>
      </c>
      <c r="I15" s="20">
        <f>F15 * G15 * 0</f>
        <v>0</v>
      </c>
      <c r="J15" s="20">
        <f>F15 * G15 * 27621.03568</f>
        <v>27621.035680000001</v>
      </c>
      <c r="K15" s="20">
        <f>F15 * G15 * 10424.396523</f>
        <v>10424.396522999999</v>
      </c>
      <c r="L15" s="20">
        <f>F15 * G15 * 622.966818</f>
        <v>622.96681799999999</v>
      </c>
      <c r="M15" s="20">
        <f>F15 * G15 * 445.487031</f>
        <v>445.487031</v>
      </c>
      <c r="N15" s="20">
        <f t="shared" si="1"/>
        <v>42016.110851999998</v>
      </c>
      <c r="O15" s="15">
        <f>IF(O3&gt;0,N15/O3/12,0)</f>
        <v>0.13642533463991677</v>
      </c>
      <c r="P15" s="22"/>
    </row>
    <row r="16" spans="1:16" ht="17.25" customHeight="1" x14ac:dyDescent="0.25">
      <c r="B16" s="16">
        <v>14</v>
      </c>
      <c r="C16" s="17" t="s">
        <v>47</v>
      </c>
      <c r="D16" s="18" t="s">
        <v>79</v>
      </c>
      <c r="E16" s="18" t="s">
        <v>48</v>
      </c>
      <c r="F16" s="19">
        <v>12.8</v>
      </c>
      <c r="G16" s="19">
        <v>4</v>
      </c>
      <c r="H16" s="20">
        <f>F16 * G16 * 70.083942</f>
        <v>3588.2978303999998</v>
      </c>
      <c r="I16" s="20">
        <f>F16 * G16 * 0</f>
        <v>0</v>
      </c>
      <c r="J16" s="20">
        <f>F16 * G16 * 0</f>
        <v>0</v>
      </c>
      <c r="K16" s="20">
        <f>F16 * G16 * 49.1989279999999</f>
        <v>2518.9851135999952</v>
      </c>
      <c r="L16" s="20">
        <f>F16 * G16 * 1.82685</f>
        <v>93.534720000000007</v>
      </c>
      <c r="M16" s="20">
        <f>F16 * G16 * 2.102518</f>
        <v>107.64892159999999</v>
      </c>
      <c r="N16" s="20">
        <f t="shared" si="1"/>
        <v>6308.4665855999947</v>
      </c>
      <c r="O16" s="15">
        <f>IF(O3&gt;0,N16/O3/12,0)</f>
        <v>2.0483444268241821E-2</v>
      </c>
      <c r="P16" s="22"/>
    </row>
    <row r="17" spans="2:17" ht="25.5" x14ac:dyDescent="0.25">
      <c r="B17" s="16">
        <v>15</v>
      </c>
      <c r="C17" s="17" t="s">
        <v>49</v>
      </c>
      <c r="D17" s="18" t="s">
        <v>50</v>
      </c>
      <c r="E17" s="18" t="s">
        <v>48</v>
      </c>
      <c r="F17" s="19">
        <v>12.8</v>
      </c>
      <c r="G17" s="19">
        <v>4</v>
      </c>
      <c r="H17" s="20">
        <f>F17 * G17 * 39.9275</f>
        <v>2044.2880000000002</v>
      </c>
      <c r="I17" s="20">
        <f>F17 * G17 * 0</f>
        <v>0</v>
      </c>
      <c r="J17" s="20">
        <f>F17 * G17 * 0</f>
        <v>0</v>
      </c>
      <c r="K17" s="20">
        <f>F17 * G17 * 28.0291049999999</f>
        <v>1435.0901759999949</v>
      </c>
      <c r="L17" s="20">
        <f>F17 * G17 * 1.040774</f>
        <v>53.287628800000007</v>
      </c>
      <c r="M17" s="20">
        <f>F17 * G17 * 1.197825</f>
        <v>61.32864</v>
      </c>
      <c r="N17" s="20">
        <f t="shared" si="1"/>
        <v>3593.9944447999956</v>
      </c>
      <c r="O17" s="15">
        <f>IF(O3&gt;0,N17/O3/12,0)</f>
        <v>1.1669616365801787E-2</v>
      </c>
      <c r="P17" s="22"/>
    </row>
    <row r="18" spans="2:17" x14ac:dyDescent="0.25">
      <c r="B18" s="16">
        <v>16</v>
      </c>
      <c r="C18" s="17" t="s">
        <v>51</v>
      </c>
      <c r="D18" s="18" t="s">
        <v>55</v>
      </c>
      <c r="E18" s="18" t="s">
        <v>48</v>
      </c>
      <c r="F18" s="19">
        <v>0.06</v>
      </c>
      <c r="G18" s="19">
        <v>1</v>
      </c>
      <c r="H18" s="20">
        <f>F18 * G18 * 10368.085722</f>
        <v>622.08514331999993</v>
      </c>
      <c r="I18" s="20">
        <f>F18 * G18 * 300000</f>
        <v>18000</v>
      </c>
      <c r="J18" s="20">
        <f>F18 * G18 * 0</f>
        <v>0</v>
      </c>
      <c r="K18" s="20">
        <f>F18 * G18 * 7278.396177</f>
        <v>436.70377061999994</v>
      </c>
      <c r="L18" s="20">
        <f>F18 * G18 * 4785.260743</f>
        <v>287.11564457999998</v>
      </c>
      <c r="M18" s="20">
        <f>F18 * G18 * 311.042572</f>
        <v>18.662554319999998</v>
      </c>
      <c r="N18" s="20">
        <f t="shared" si="1"/>
        <v>19364.567112839999</v>
      </c>
      <c r="O18" s="15">
        <f>IF(O3&gt;0,N18/O3/12,0)</f>
        <v>6.2876298994735999E-2</v>
      </c>
      <c r="P18" s="22"/>
    </row>
    <row r="19" spans="2:17" s="8" customFormat="1" ht="20.100000000000001" customHeight="1" x14ac:dyDescent="0.25">
      <c r="B19" s="38" t="s">
        <v>52</v>
      </c>
      <c r="C19" s="38"/>
      <c r="D19" s="38"/>
      <c r="E19" s="38"/>
      <c r="F19" s="38"/>
      <c r="G19" s="38"/>
      <c r="H19" s="23">
        <f>SUM(H4:H18)</f>
        <v>782618.09410984989</v>
      </c>
      <c r="I19" s="23">
        <f>SUM(I4:I18)</f>
        <v>52674.140358473996</v>
      </c>
      <c r="J19" s="23">
        <f>SUM(J4:J18)</f>
        <v>27621.035680000001</v>
      </c>
      <c r="K19" s="23">
        <f>SUM(K4:K18)</f>
        <v>557784.93687991798</v>
      </c>
      <c r="L19" s="23">
        <f>SUM(L4:L18)</f>
        <v>21740.254426442567</v>
      </c>
      <c r="M19" s="23">
        <f>SUM(M4:M18)</f>
        <v>23836.963302178905</v>
      </c>
      <c r="N19" s="23">
        <f>SUM(N4:N18)</f>
        <v>1466275.4247568634</v>
      </c>
      <c r="O19" s="24">
        <f>SUM(O4:O18)</f>
        <v>4.7609621985567285</v>
      </c>
      <c r="P19" s="25" t="s">
        <v>84</v>
      </c>
      <c r="Q19" s="8">
        <v>3</v>
      </c>
    </row>
    <row r="20" spans="2:17" x14ac:dyDescent="0.25">
      <c r="B20" s="42"/>
      <c r="C20" s="43"/>
      <c r="D20" s="44"/>
      <c r="E20" s="44"/>
      <c r="F20" s="45"/>
      <c r="G20" s="45"/>
      <c r="H20" s="46"/>
      <c r="I20" s="46"/>
      <c r="J20" s="46"/>
      <c r="K20" s="46"/>
      <c r="L20" s="32" t="s">
        <v>92</v>
      </c>
      <c r="M20" s="33"/>
      <c r="N20" s="33"/>
      <c r="O20" s="47">
        <v>3.85</v>
      </c>
      <c r="P20" s="26">
        <f>O19-O20</f>
        <v>0.91096219855672844</v>
      </c>
    </row>
    <row r="21" spans="2:17" ht="16.5" customHeight="1" x14ac:dyDescent="0.25">
      <c r="B21" s="39" t="s">
        <v>90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13"/>
      <c r="P21" s="22"/>
    </row>
    <row r="22" spans="2:17" ht="16.5" customHeight="1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 t="s">
        <v>15</v>
      </c>
      <c r="N22" s="40"/>
      <c r="O22" s="14">
        <v>25664.9</v>
      </c>
      <c r="P22" s="22"/>
    </row>
    <row r="23" spans="2:17" ht="38.25" x14ac:dyDescent="0.25">
      <c r="B23" s="16">
        <v>1</v>
      </c>
      <c r="C23" s="17" t="s">
        <v>56</v>
      </c>
      <c r="D23" s="18" t="s">
        <v>86</v>
      </c>
      <c r="E23" s="18" t="s">
        <v>57</v>
      </c>
      <c r="F23" s="19">
        <v>66</v>
      </c>
      <c r="G23" s="19">
        <v>24</v>
      </c>
      <c r="H23" s="20">
        <f>F23 * G23 * 179.003767</f>
        <v>283541.96692800004</v>
      </c>
      <c r="I23" s="20">
        <f>F23 * G23 * 3.7908</f>
        <v>6004.6271999999999</v>
      </c>
      <c r="J23" s="20">
        <f t="shared" ref="J23:J30" si="2">F23 * G23 * 0</f>
        <v>0</v>
      </c>
      <c r="K23" s="20">
        <f>F23 * G23 * 107.760267</f>
        <v>170692.26292800001</v>
      </c>
      <c r="L23" s="20">
        <f>F23 * G23 * 4.41326</f>
        <v>6990.6038400000007</v>
      </c>
      <c r="M23" s="20">
        <f>F23 * G23 * 2.685057</f>
        <v>4253.1302880000003</v>
      </c>
      <c r="N23" s="20">
        <f t="shared" ref="N23:N30" si="3">SUM(H23:M23)</f>
        <v>471482.59118400002</v>
      </c>
      <c r="O23" s="15">
        <f>IF(O22&gt;0,N23/O22/12,0)</f>
        <v>1.5308930068693041</v>
      </c>
      <c r="P23" s="22"/>
    </row>
    <row r="24" spans="2:17" ht="25.5" x14ac:dyDescent="0.25">
      <c r="B24" s="16">
        <v>2</v>
      </c>
      <c r="C24" s="17" t="s">
        <v>58</v>
      </c>
      <c r="D24" s="18" t="s">
        <v>87</v>
      </c>
      <c r="E24" s="18" t="s">
        <v>59</v>
      </c>
      <c r="F24" s="19">
        <v>1.3</v>
      </c>
      <c r="G24" s="19">
        <v>365</v>
      </c>
      <c r="H24" s="20">
        <f>F24 * G24 * 262.873876</f>
        <v>124733.65416199999</v>
      </c>
      <c r="I24" s="20">
        <f>F24 * G24 * 102.282</f>
        <v>48532.809000000001</v>
      </c>
      <c r="J24" s="20">
        <f t="shared" si="2"/>
        <v>0</v>
      </c>
      <c r="K24" s="20">
        <f>F24 * G24 * 158.250073</f>
        <v>75089.659638499987</v>
      </c>
      <c r="L24" s="20">
        <f>F24 * G24 * 7.936603</f>
        <v>3765.9181235000001</v>
      </c>
      <c r="M24" s="20">
        <f>F24 * G24 * 3.943108</f>
        <v>1871.0047460000001</v>
      </c>
      <c r="N24" s="20">
        <f t="shared" si="3"/>
        <v>253993.04566999999</v>
      </c>
      <c r="O24" s="15">
        <f>IF(O22&gt;0,N24/O22/12,0)</f>
        <v>0.824709511401434</v>
      </c>
      <c r="P24" s="22"/>
    </row>
    <row r="25" spans="2:17" ht="38.25" x14ac:dyDescent="0.25">
      <c r="B25" s="16">
        <v>3</v>
      </c>
      <c r="C25" s="17" t="s">
        <v>60</v>
      </c>
      <c r="D25" s="18" t="s">
        <v>88</v>
      </c>
      <c r="E25" s="18" t="s">
        <v>59</v>
      </c>
      <c r="F25" s="19">
        <v>66</v>
      </c>
      <c r="G25" s="19">
        <v>24</v>
      </c>
      <c r="H25" s="20">
        <f>F25 * G25 * 225.270955</f>
        <v>356829.19271999999</v>
      </c>
      <c r="I25" s="20">
        <f>F25 * G25 * 102.282</f>
        <v>162014.68799999999</v>
      </c>
      <c r="J25" s="20">
        <f t="shared" si="2"/>
        <v>0</v>
      </c>
      <c r="K25" s="20">
        <v>153811.17000000001</v>
      </c>
      <c r="L25" s="20">
        <f>F25 * G25 * 7.021505</f>
        <v>11122.063920000001</v>
      </c>
      <c r="M25" s="20">
        <f>F25 * G25 * 3.379064</f>
        <v>5352.4373759999999</v>
      </c>
      <c r="N25" s="20">
        <f t="shared" si="3"/>
        <v>689129.55201600003</v>
      </c>
      <c r="O25" s="15">
        <f>IF(O22&gt;0,N25/O22/12,0)</f>
        <v>2.2375876262132328</v>
      </c>
      <c r="P25" s="22"/>
    </row>
    <row r="26" spans="2:17" ht="25.5" x14ac:dyDescent="0.25">
      <c r="B26" s="16">
        <v>4</v>
      </c>
      <c r="C26" s="17" t="s">
        <v>61</v>
      </c>
      <c r="D26" s="18" t="s">
        <v>62</v>
      </c>
      <c r="E26" s="18" t="s">
        <v>63</v>
      </c>
      <c r="F26" s="19">
        <v>1.728</v>
      </c>
      <c r="G26" s="19">
        <v>2</v>
      </c>
      <c r="H26" s="20">
        <f>F26 * G26 * 580.505923</f>
        <v>2006.2284698880001</v>
      </c>
      <c r="I26" s="20">
        <f>F26 * G26 * 212.132376</f>
        <v>733.12949145599998</v>
      </c>
      <c r="J26" s="20">
        <f t="shared" si="2"/>
        <v>0</v>
      </c>
      <c r="K26" s="20">
        <f>F26 * G26 * 349.464566</f>
        <v>1207.7495400959999</v>
      </c>
      <c r="L26" s="20">
        <f>F26 * G26 * 17.3196969999999</f>
        <v>59.856872831999645</v>
      </c>
      <c r="M26" s="20">
        <f>F26 * G26 * 8.707589</f>
        <v>30.093427584000001</v>
      </c>
      <c r="N26" s="20">
        <f t="shared" si="3"/>
        <v>4037.057801856</v>
      </c>
      <c r="O26" s="15">
        <f>IF(O22&gt;0,N26/O22/12,0)</f>
        <v>1.3108232780490085E-2</v>
      </c>
      <c r="P26" s="22"/>
    </row>
    <row r="27" spans="2:17" x14ac:dyDescent="0.25">
      <c r="B27" s="16">
        <v>5</v>
      </c>
      <c r="C27" s="17" t="s">
        <v>64</v>
      </c>
      <c r="D27" s="18" t="s">
        <v>65</v>
      </c>
      <c r="E27" s="18" t="s">
        <v>66</v>
      </c>
      <c r="F27" s="19">
        <v>0.48</v>
      </c>
      <c r="G27" s="19">
        <v>365</v>
      </c>
      <c r="H27" s="20">
        <f>F27 * G27 * 306.195213</f>
        <v>53645.401317600001</v>
      </c>
      <c r="I27" s="20">
        <f>F27 * G27 * 392.5518</f>
        <v>68775.075360000003</v>
      </c>
      <c r="J27" s="20">
        <f t="shared" si="2"/>
        <v>0</v>
      </c>
      <c r="K27" s="20">
        <f>F27 * G27 * 184.329519</f>
        <v>32294.531728799997</v>
      </c>
      <c r="L27" s="20">
        <f>F27 * G27 * 13.359425</f>
        <v>2340.5712599999997</v>
      </c>
      <c r="M27" s="20">
        <f>F27 * G27 * 4.592928</f>
        <v>804.68098559999987</v>
      </c>
      <c r="N27" s="20">
        <f t="shared" si="3"/>
        <v>157860.260652</v>
      </c>
      <c r="O27" s="15">
        <f>IF(O22&gt;0,N27/O22/12,0)</f>
        <v>0.51256859450066039</v>
      </c>
      <c r="P27" s="22"/>
    </row>
    <row r="28" spans="2:17" x14ac:dyDescent="0.25">
      <c r="B28" s="16">
        <v>6</v>
      </c>
      <c r="C28" s="17" t="s">
        <v>67</v>
      </c>
      <c r="D28" s="18" t="s">
        <v>68</v>
      </c>
      <c r="E28" s="18" t="s">
        <v>69</v>
      </c>
      <c r="F28" s="19">
        <v>1.08</v>
      </c>
      <c r="G28" s="19">
        <v>2</v>
      </c>
      <c r="H28" s="20">
        <f>F28 * G28 * 482.253129</f>
        <v>1041.6667586400001</v>
      </c>
      <c r="I28" s="20">
        <f>F28 * G28 * 87.7146</f>
        <v>189.46353600000003</v>
      </c>
      <c r="J28" s="20">
        <f t="shared" si="2"/>
        <v>0</v>
      </c>
      <c r="K28" s="20">
        <f>F28 * G28 * 290.316383999999</f>
        <v>627.08338943999786</v>
      </c>
      <c r="L28" s="20">
        <f>F28 * G28 * 13.056145</f>
        <v>28.201273200000003</v>
      </c>
      <c r="M28" s="20">
        <f>F28 * G28 * 7.233797</f>
        <v>15.625001520000001</v>
      </c>
      <c r="N28" s="20">
        <f t="shared" si="3"/>
        <v>1902.0399587999982</v>
      </c>
      <c r="O28" s="15">
        <f>IF(O22&gt;0,N28/O22/12,0)</f>
        <v>6.175879504693174E-3</v>
      </c>
      <c r="P28" s="22"/>
    </row>
    <row r="29" spans="2:17" ht="25.5" x14ac:dyDescent="0.25">
      <c r="B29" s="16">
        <v>7</v>
      </c>
      <c r="C29" s="17" t="s">
        <v>80</v>
      </c>
      <c r="D29" s="18" t="s">
        <v>85</v>
      </c>
      <c r="E29" s="18" t="s">
        <v>42</v>
      </c>
      <c r="F29" s="19">
        <v>27.76</v>
      </c>
      <c r="G29" s="19">
        <v>2</v>
      </c>
      <c r="H29" s="20">
        <f>F29 * G29 * 121.646316</f>
        <v>6753.8034643199999</v>
      </c>
      <c r="I29" s="20">
        <f>F29 * G29 * 259.209868</f>
        <v>14391.33187136</v>
      </c>
      <c r="J29" s="20">
        <f t="shared" si="2"/>
        <v>0</v>
      </c>
      <c r="K29" s="20">
        <f>F29 * G29 * 73.231082</f>
        <v>4065.7896726400004</v>
      </c>
      <c r="L29" s="20">
        <f>F29 * G29 * 6.861475</f>
        <v>380.94909200000006</v>
      </c>
      <c r="M29" s="20">
        <f>F29 * G29 * 1.824695</f>
        <v>101.3070664</v>
      </c>
      <c r="N29" s="20">
        <f t="shared" si="3"/>
        <v>25693.181166719998</v>
      </c>
      <c r="O29" s="15">
        <f>IF(O22&gt;0,N29/O22/12,0)</f>
        <v>8.3425161623852009E-2</v>
      </c>
      <c r="P29" s="22"/>
    </row>
    <row r="30" spans="2:17" ht="41.25" customHeight="1" x14ac:dyDescent="0.25">
      <c r="B30" s="16">
        <v>8</v>
      </c>
      <c r="C30" s="17" t="s">
        <v>81</v>
      </c>
      <c r="D30" s="18" t="s">
        <v>82</v>
      </c>
      <c r="E30" s="18" t="s">
        <v>83</v>
      </c>
      <c r="F30" s="19">
        <v>2</v>
      </c>
      <c r="G30" s="19">
        <v>2</v>
      </c>
      <c r="H30" s="20">
        <f>F30 * G30 * 755.770079</f>
        <v>3023.080316</v>
      </c>
      <c r="I30" s="20">
        <f>F30 * G30 * 345.6</f>
        <v>1382.4</v>
      </c>
      <c r="J30" s="20">
        <f t="shared" si="2"/>
        <v>0</v>
      </c>
      <c r="K30" s="20">
        <f>F30 * G30 * 454.973588</f>
        <v>1819.894352</v>
      </c>
      <c r="L30" s="20">
        <f>F30 * G30 * 23.593587</f>
        <v>94.374347999999998</v>
      </c>
      <c r="M30" s="20">
        <f>F30 * G30 * 11.336551</f>
        <v>45.346204</v>
      </c>
      <c r="N30" s="20">
        <f t="shared" si="3"/>
        <v>6365.0952200000011</v>
      </c>
      <c r="O30" s="15">
        <f>IF(O22&gt;0,N30/O22/12,0)</f>
        <v>2.0667316126954195E-2</v>
      </c>
      <c r="P30" s="22"/>
    </row>
    <row r="31" spans="2:17" ht="22.5" customHeight="1" x14ac:dyDescent="0.25">
      <c r="B31" s="38" t="s">
        <v>52</v>
      </c>
      <c r="C31" s="38"/>
      <c r="D31" s="38"/>
      <c r="E31" s="38"/>
      <c r="F31" s="38"/>
      <c r="G31" s="38"/>
      <c r="H31" s="23">
        <f t="shared" ref="H31:O31" si="4">SUM(H23:H30)</f>
        <v>831574.99413644802</v>
      </c>
      <c r="I31" s="23">
        <f t="shared" si="4"/>
        <v>302023.52445881604</v>
      </c>
      <c r="J31" s="23">
        <f t="shared" si="4"/>
        <v>0</v>
      </c>
      <c r="K31" s="23">
        <f t="shared" si="4"/>
        <v>439608.14124947588</v>
      </c>
      <c r="L31" s="23">
        <f t="shared" si="4"/>
        <v>24782.538729532003</v>
      </c>
      <c r="M31" s="23">
        <f t="shared" si="4"/>
        <v>12473.625095104002</v>
      </c>
      <c r="N31" s="23">
        <f t="shared" si="4"/>
        <v>1610462.8236693763</v>
      </c>
      <c r="O31" s="24">
        <f t="shared" si="4"/>
        <v>5.2291353290206208</v>
      </c>
      <c r="P31" s="22"/>
    </row>
    <row r="32" spans="2:17" ht="17.25" customHeight="1" x14ac:dyDescent="0.25">
      <c r="B32" s="39" t="s">
        <v>91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1" t="s">
        <v>92</v>
      </c>
      <c r="N32" s="41"/>
      <c r="O32" s="13">
        <v>2.54</v>
      </c>
      <c r="P32" s="26">
        <f>O31-O32</f>
        <v>2.6891353290206208</v>
      </c>
    </row>
    <row r="33" spans="2:16" ht="16.5" customHeight="1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 t="s">
        <v>15</v>
      </c>
      <c r="N33" s="40"/>
      <c r="O33" s="14">
        <v>25664.9</v>
      </c>
      <c r="P33" s="22"/>
    </row>
    <row r="34" spans="2:16" ht="38.25" x14ac:dyDescent="0.25">
      <c r="B34" s="16">
        <v>1</v>
      </c>
      <c r="C34" s="17" t="s">
        <v>70</v>
      </c>
      <c r="D34" s="18" t="s">
        <v>71</v>
      </c>
      <c r="E34" s="18" t="s">
        <v>72</v>
      </c>
      <c r="F34" s="19">
        <v>1</v>
      </c>
      <c r="G34" s="19">
        <v>365</v>
      </c>
      <c r="H34" s="20">
        <f>F34 * G34 * 2168.4</f>
        <v>791466</v>
      </c>
      <c r="I34" s="20">
        <f>F34 * G34 * 0</f>
        <v>0</v>
      </c>
      <c r="J34" s="20">
        <f>F34 * G34 * 0</f>
        <v>0</v>
      </c>
      <c r="K34" s="20">
        <f>F34 * G34 * 1522.2168</f>
        <v>555609.13199999998</v>
      </c>
      <c r="L34" s="20">
        <f>F34 * G34 * 56.033299</f>
        <v>20452.154135000001</v>
      </c>
      <c r="M34" s="20">
        <f>F34 * G34 * 32.526</f>
        <v>11871.990000000002</v>
      </c>
      <c r="N34" s="20">
        <f>SUM(H34:M34)</f>
        <v>1379399.2761349999</v>
      </c>
      <c r="O34" s="15">
        <f>IF(O33&gt;0,N34/O33/12,0)</f>
        <v>4.4788773647244549</v>
      </c>
      <c r="P34" s="22"/>
    </row>
    <row r="35" spans="2:16" x14ac:dyDescent="0.25">
      <c r="B35" s="16">
        <v>3</v>
      </c>
      <c r="C35" s="17" t="s">
        <v>74</v>
      </c>
      <c r="D35" s="18" t="s">
        <v>75</v>
      </c>
      <c r="E35" s="18" t="s">
        <v>73</v>
      </c>
      <c r="F35" s="19">
        <v>12</v>
      </c>
      <c r="G35" s="19">
        <v>1</v>
      </c>
      <c r="H35" s="20">
        <f>F35 * G35 * 1475.576661</f>
        <v>17706.919932000001</v>
      </c>
      <c r="I35" s="20">
        <f>F35 * G35 * 0</f>
        <v>0</v>
      </c>
      <c r="J35" s="20">
        <f>F35 * G35 * 0</f>
        <v>0</v>
      </c>
      <c r="K35" s="20">
        <f>F35 * G35 * 1035.854816</f>
        <v>12430.257792</v>
      </c>
      <c r="L35" s="20">
        <f>F35 * G35 * 38.130156</f>
        <v>457.56187199999999</v>
      </c>
      <c r="M35" s="20">
        <f>F35 * G35 * 22.13365</f>
        <v>265.60379999999998</v>
      </c>
      <c r="N35" s="20">
        <f>SUM(H35:M35)</f>
        <v>30860.343396</v>
      </c>
      <c r="O35" s="15">
        <f>IF(O33&gt;0,N35/O33/12,0)</f>
        <v>0.10020281719391073</v>
      </c>
      <c r="P35" s="22"/>
    </row>
    <row r="36" spans="2:16" x14ac:dyDescent="0.25">
      <c r="B36" s="16">
        <v>4</v>
      </c>
      <c r="C36" s="17" t="s">
        <v>76</v>
      </c>
      <c r="D36" s="18" t="s">
        <v>77</v>
      </c>
      <c r="E36" s="18" t="s">
        <v>78</v>
      </c>
      <c r="F36" s="19">
        <v>12</v>
      </c>
      <c r="G36" s="19">
        <v>1</v>
      </c>
      <c r="H36" s="20">
        <f>F36 * G36 * 13472.65647</f>
        <v>161671.87763999999</v>
      </c>
      <c r="I36" s="20">
        <f>F36 * G36 * 0</f>
        <v>0</v>
      </c>
      <c r="J36" s="20">
        <f>F36 * G36 * 0</f>
        <v>0</v>
      </c>
      <c r="K36" s="20">
        <f>F36 * G36 * 9457.804842</f>
        <v>113493.658104</v>
      </c>
      <c r="L36" s="20">
        <f>F36 * G36 * 348.144895</f>
        <v>4177.7387400000007</v>
      </c>
      <c r="M36" s="20">
        <f>F36 * G36 * 202.089847</f>
        <v>2425.078164</v>
      </c>
      <c r="N36" s="20">
        <f>SUM(H36:M36)</f>
        <v>281768.352648</v>
      </c>
      <c r="O36" s="15">
        <f>IF(O33&gt;0,N36/O33/12,0)</f>
        <v>0.91489528710417722</v>
      </c>
      <c r="P36" s="22"/>
    </row>
    <row r="37" spans="2:16" ht="15" x14ac:dyDescent="0.25">
      <c r="B37" s="38" t="s">
        <v>52</v>
      </c>
      <c r="C37" s="38"/>
      <c r="D37" s="38"/>
      <c r="E37" s="38"/>
      <c r="F37" s="38"/>
      <c r="G37" s="38"/>
      <c r="H37" s="23">
        <f t="shared" ref="H37:O37" si="5">SUM(H34:H36)</f>
        <v>970844.79757199995</v>
      </c>
      <c r="I37" s="23">
        <f t="shared" si="5"/>
        <v>0</v>
      </c>
      <c r="J37" s="23">
        <f t="shared" si="5"/>
        <v>0</v>
      </c>
      <c r="K37" s="23">
        <f t="shared" si="5"/>
        <v>681533.04789599997</v>
      </c>
      <c r="L37" s="23">
        <f t="shared" si="5"/>
        <v>25087.454747</v>
      </c>
      <c r="M37" s="23">
        <f t="shared" si="5"/>
        <v>14562.671964000003</v>
      </c>
      <c r="N37" s="23">
        <f t="shared" si="5"/>
        <v>1692027.972179</v>
      </c>
      <c r="O37" s="24">
        <f t="shared" si="5"/>
        <v>5.4939754690225433</v>
      </c>
      <c r="P37" s="26">
        <f>O37-O38</f>
        <v>0.89397546902254366</v>
      </c>
    </row>
    <row r="38" spans="2:16" x14ac:dyDescent="0.25">
      <c r="B38" s="27"/>
      <c r="C38" s="28"/>
      <c r="D38" s="29"/>
      <c r="E38" s="29"/>
      <c r="F38" s="30"/>
      <c r="G38" s="30"/>
      <c r="H38" s="31"/>
      <c r="I38" s="31"/>
      <c r="J38" s="31"/>
      <c r="K38" s="31"/>
      <c r="L38" s="34" t="s">
        <v>92</v>
      </c>
      <c r="M38" s="35"/>
      <c r="N38" s="35"/>
      <c r="O38" s="15">
        <v>4.5999999999999996</v>
      </c>
      <c r="P38" s="26">
        <f>SUM(P20:P37)</f>
        <v>4.4940729965998933</v>
      </c>
    </row>
    <row r="39" spans="2:16" x14ac:dyDescent="0.25">
      <c r="P39" s="21"/>
    </row>
  </sheetData>
  <mergeCells count="14">
    <mergeCell ref="L20:N20"/>
    <mergeCell ref="L38:N38"/>
    <mergeCell ref="B2:L3"/>
    <mergeCell ref="M2:N2"/>
    <mergeCell ref="M3:N3"/>
    <mergeCell ref="B19:G19"/>
    <mergeCell ref="B37:G37"/>
    <mergeCell ref="B21:L22"/>
    <mergeCell ref="M21:N21"/>
    <mergeCell ref="M22:N22"/>
    <mergeCell ref="B31:G31"/>
    <mergeCell ref="B32:L33"/>
    <mergeCell ref="M32:N32"/>
    <mergeCell ref="M33:N33"/>
  </mergeCells>
  <pageMargins left="0.43307086614173229" right="0.23622047244094491" top="0.15748031496062992" bottom="0.15748031496062992" header="0.31496062992125984" footer="0.31496062992125984"/>
  <pageSetup paperSize="9" scale="56" fitToHeight="0" orientation="landscape" horizontalDpi="4294967295" verticalDpi="4294967295" r:id="rId1"/>
  <headerFooter>
    <oddHeader>&amp;C&amp;KCCCCCC&amp;"Arial"Новое шоссе 12 Двор</oddHeader>
    <oddFooter>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Новое шоссе 12 Двор</dc:title>
  <dc:subject/>
  <dc:creator/>
  <cp:keywords/>
  <dc:description/>
  <cp:lastModifiedBy/>
  <cp:lastPrinted>2024-03-04T11:36:23Z</cp:lastPrinted>
  <dcterms:created xsi:type="dcterms:W3CDTF">2024-03-04T11:36:23Z</dcterms:created>
  <dcterms:modified xsi:type="dcterms:W3CDTF">2024-03-06T12:03:50Z</dcterms:modified>
  <cp:category/>
</cp:coreProperties>
</file>